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Cornelius Arts Center\Accounting\Projections\"/>
    </mc:Choice>
  </mc:AlternateContent>
  <bookViews>
    <workbookView xWindow="240" yWindow="120" windowWidth="14940" windowHeight="9225"/>
  </bookViews>
  <sheets>
    <sheet name="Summary" sheetId="2" r:id="rId1"/>
    <sheet name="Statement of Activities - Actua" sheetId="1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F64" i="1" l="1"/>
  <c r="F65" i="1"/>
  <c r="I9" i="2" l="1"/>
  <c r="I23" i="2"/>
  <c r="I15" i="2"/>
  <c r="I19" i="2" s="1"/>
  <c r="J19" i="2" s="1"/>
  <c r="I20" i="2"/>
  <c r="C33" i="2"/>
  <c r="C28" i="2"/>
  <c r="E22" i="2"/>
  <c r="C21" i="2"/>
  <c r="C12" i="2"/>
  <c r="C13" i="2"/>
  <c r="C9" i="2"/>
  <c r="C8" i="2"/>
  <c r="C7" i="2"/>
  <c r="C74" i="1"/>
  <c r="H52" i="1"/>
  <c r="G52" i="1"/>
  <c r="F52" i="1"/>
  <c r="C67" i="1"/>
  <c r="F39" i="1"/>
  <c r="F36" i="1"/>
  <c r="C40" i="1"/>
  <c r="C66" i="1"/>
  <c r="F57" i="1"/>
  <c r="F56" i="1"/>
  <c r="F58" i="1"/>
  <c r="C59" i="1"/>
  <c r="F47" i="1"/>
  <c r="C48" i="1"/>
  <c r="G27" i="1"/>
  <c r="H27" i="1" s="1"/>
  <c r="G26" i="1"/>
  <c r="H26" i="1" s="1"/>
  <c r="G24" i="1"/>
  <c r="H24" i="1" s="1"/>
  <c r="F11" i="1"/>
  <c r="C16" i="1"/>
  <c r="I24" i="2" l="1"/>
  <c r="J23" i="2"/>
  <c r="C10" i="2"/>
  <c r="C15" i="2" s="1"/>
  <c r="D22" i="2"/>
  <c r="F22" i="2" s="1"/>
  <c r="G12" i="1"/>
  <c r="G63" i="1" l="1"/>
  <c r="H63" i="1" s="1"/>
  <c r="G65" i="1"/>
  <c r="H65" i="1" s="1"/>
  <c r="G64" i="1"/>
  <c r="H64" i="1" s="1"/>
  <c r="G58" i="1"/>
  <c r="H58" i="1" s="1"/>
  <c r="G57" i="1"/>
  <c r="H57" i="1" s="1"/>
  <c r="G56" i="1"/>
  <c r="H56" i="1" s="1"/>
  <c r="G47" i="1"/>
  <c r="H47" i="1" s="1"/>
  <c r="G45" i="1"/>
  <c r="H45" i="1" s="1"/>
  <c r="G44" i="1"/>
  <c r="H44" i="1" s="1"/>
  <c r="F40" i="1"/>
  <c r="G32" i="1"/>
  <c r="H32" i="1" s="1"/>
  <c r="G34" i="1"/>
  <c r="H34" i="1" s="1"/>
  <c r="G31" i="1"/>
  <c r="H31" i="1" s="1"/>
  <c r="G37" i="1"/>
  <c r="H37" i="1" s="1"/>
  <c r="G36" i="1"/>
  <c r="H36" i="1" s="1"/>
  <c r="G28" i="1"/>
  <c r="H28" i="1" s="1"/>
  <c r="G22" i="1"/>
  <c r="H22" i="1" s="1"/>
  <c r="H15" i="1"/>
  <c r="G14" i="1"/>
  <c r="H14" i="1" s="1"/>
  <c r="G13" i="1"/>
  <c r="H13" i="1" s="1"/>
  <c r="H12" i="1"/>
  <c r="F16" i="1"/>
  <c r="F59" i="1" l="1"/>
  <c r="G39" i="1"/>
  <c r="H39" i="1" s="1"/>
  <c r="G40" i="1"/>
  <c r="H40" i="1" s="1"/>
  <c r="F66" i="1"/>
  <c r="G66" i="1" s="1"/>
  <c r="H66" i="1" s="1"/>
  <c r="G33" i="1"/>
  <c r="H33" i="1" s="1"/>
  <c r="F48" i="1"/>
  <c r="G59" i="1"/>
  <c r="H59" i="1" s="1"/>
  <c r="G11" i="1"/>
  <c r="G21" i="1"/>
  <c r="G48" i="1" l="1"/>
  <c r="F67" i="1"/>
  <c r="F74" i="1" s="1"/>
  <c r="H21" i="1"/>
  <c r="G16" i="1"/>
  <c r="H11" i="1"/>
  <c r="H16" i="1" s="1"/>
  <c r="H48" i="1" l="1"/>
  <c r="H67" i="1" s="1"/>
  <c r="G67" i="1"/>
  <c r="G74" i="1" s="1"/>
  <c r="C17" i="2" s="1"/>
  <c r="H74" i="1"/>
  <c r="C24" i="2" l="1"/>
  <c r="C32" i="2" s="1"/>
  <c r="C34" i="2" s="1"/>
</calcChain>
</file>

<file path=xl/sharedStrings.xml><?xml version="1.0" encoding="utf-8"?>
<sst xmlns="http://schemas.openxmlformats.org/spreadsheetml/2006/main" count="221" uniqueCount="129">
  <si>
    <t>Cain Center for The Arts</t>
  </si>
  <si>
    <t>Statement of Activities - Actual vs. Budget</t>
  </si>
  <si>
    <t>As of Date:</t>
  </si>
  <si>
    <t>12/31/2019</t>
  </si>
  <si>
    <t>Location:</t>
  </si>
  <si>
    <t>Cornelius Arts Community Center</t>
  </si>
  <si>
    <t xml:space="preserve"> </t>
  </si>
  <si>
    <t>Month Ending</t>
  </si>
  <si>
    <t>Year To Date</t>
  </si>
  <si>
    <t>Year Ending</t>
  </si>
  <si>
    <t>06/30/2020</t>
  </si>
  <si>
    <t>Month Actual</t>
  </si>
  <si>
    <t>YTD Actual</t>
  </si>
  <si>
    <t>Annual Budget</t>
  </si>
  <si>
    <t>% Budget Remaining</t>
  </si>
  <si>
    <t xml:space="preserve">  Revenue - Donations &amp; Grants</t>
  </si>
  <si>
    <t xml:space="preserve">  </t>
  </si>
  <si>
    <t xml:space="preserve">    Town Income</t>
  </si>
  <si>
    <t xml:space="preserve">    Donation Income</t>
  </si>
  <si>
    <t xml:space="preserve">    Special Event Income</t>
  </si>
  <si>
    <t xml:space="preserve">    Restricted Donations</t>
  </si>
  <si>
    <t xml:space="preserve">    In-kind Income</t>
  </si>
  <si>
    <t xml:space="preserve">  Total Revenue</t>
  </si>
  <si>
    <t xml:space="preserve">  Operating Expenses</t>
  </si>
  <si>
    <t xml:space="preserve">    General and Administrative Expenses</t>
  </si>
  <si>
    <t xml:space="preserve">    </t>
  </si>
  <si>
    <t xml:space="preserve">      Due and Subscriptions</t>
  </si>
  <si>
    <t xml:space="preserve">      </t>
  </si>
  <si>
    <t xml:space="preserve">        Board Fees and Expenses</t>
  </si>
  <si>
    <t xml:space="preserve">        Dues and Subscriptions</t>
  </si>
  <si>
    <t xml:space="preserve">      Finance Charges</t>
  </si>
  <si>
    <t xml:space="preserve">        Credit Card Merchant Fees</t>
  </si>
  <si>
    <t xml:space="preserve">      Travel, Meals and Entertainment</t>
  </si>
  <si>
    <t xml:space="preserve">        Travel Expenses</t>
  </si>
  <si>
    <t xml:space="preserve">        </t>
  </si>
  <si>
    <t xml:space="preserve">          Transportation</t>
  </si>
  <si>
    <t xml:space="preserve">          Lodging</t>
  </si>
  <si>
    <t xml:space="preserve">          Meals</t>
  </si>
  <si>
    <t xml:space="preserve">          Entertainment</t>
  </si>
  <si>
    <t xml:space="preserve">      Office Supplies</t>
  </si>
  <si>
    <t xml:space="preserve">        Software Costs</t>
  </si>
  <si>
    <t xml:space="preserve">        Administrative Expenses</t>
  </si>
  <si>
    <t xml:space="preserve">      Insurance</t>
  </si>
  <si>
    <t xml:space="preserve">        General Insurance</t>
  </si>
  <si>
    <t xml:space="preserve">    Total General and Administrative Expenses</t>
  </si>
  <si>
    <t xml:space="preserve">    Marketing and Advertising Expenses</t>
  </si>
  <si>
    <t xml:space="preserve">      Advertising and Promotion</t>
  </si>
  <si>
    <t xml:space="preserve">        Marketing</t>
  </si>
  <si>
    <t xml:space="preserve">        Conferences and Trade Shows</t>
  </si>
  <si>
    <t xml:space="preserve">      Telecommunication</t>
  </si>
  <si>
    <t xml:space="preserve">        Voice and Data Communications</t>
  </si>
  <si>
    <t xml:space="preserve">    Total Marketing and Advertising Expenses</t>
  </si>
  <si>
    <t xml:space="preserve">    Payroll and Related Expenses</t>
  </si>
  <si>
    <t xml:space="preserve">      Compensations</t>
  </si>
  <si>
    <t xml:space="preserve">        Salaries</t>
  </si>
  <si>
    <t xml:space="preserve">        Payroll Taxes</t>
  </si>
  <si>
    <t xml:space="preserve">        Employee Benefits</t>
  </si>
  <si>
    <t xml:space="preserve">    Total Payroll and Related Expense</t>
  </si>
  <si>
    <t xml:space="preserve">    Operating and Maintenance Expenses</t>
  </si>
  <si>
    <t xml:space="preserve">      Professional Services</t>
  </si>
  <si>
    <t xml:space="preserve">        Audit and Tax Fees</t>
  </si>
  <si>
    <t xml:space="preserve">        Consulting Fees</t>
  </si>
  <si>
    <t xml:space="preserve">        Accounting Services</t>
  </si>
  <si>
    <t xml:space="preserve">    Total Operating and Maintenance Expenses</t>
  </si>
  <si>
    <t xml:space="preserve">  Total Operating Expenses</t>
  </si>
  <si>
    <t xml:space="preserve">  Other Income (Expense)</t>
  </si>
  <si>
    <t xml:space="preserve">    Other Expense</t>
  </si>
  <si>
    <t xml:space="preserve">      In-Kind Expenses</t>
  </si>
  <si>
    <t xml:space="preserve">      Total Other Expenses</t>
  </si>
  <si>
    <t xml:space="preserve">  Surplus (Loss)</t>
  </si>
  <si>
    <t>These financial statements have not been subject to an audit or review or compilation engagement, and no assurance is provided on them.</t>
  </si>
  <si>
    <t>Created on: 01/13/2020 5:41 PM PDT</t>
  </si>
  <si>
    <t>Projection</t>
  </si>
  <si>
    <t>Projected P&amp;L</t>
  </si>
  <si>
    <t>Revenue Estimated Increase (Reduction)</t>
  </si>
  <si>
    <t>Notes:</t>
  </si>
  <si>
    <t>Remaining Town funds</t>
  </si>
  <si>
    <t>Expense Estimated Savings (Overage)</t>
  </si>
  <si>
    <t>Expect to spend remaining</t>
  </si>
  <si>
    <t>Artist auction event revenue</t>
  </si>
  <si>
    <t>Current revenue (education &amp; programs)</t>
  </si>
  <si>
    <t>Deloitte &amp; McGuire Woods</t>
  </si>
  <si>
    <t>$100/month board</t>
  </si>
  <si>
    <t xml:space="preserve">      Education</t>
  </si>
  <si>
    <t xml:space="preserve">        Community Engagement- Education</t>
  </si>
  <si>
    <t xml:space="preserve">        Bank Fees</t>
  </si>
  <si>
    <t xml:space="preserve">        Pledge Write Off</t>
  </si>
  <si>
    <t>Estimated at 2 months based on Aprilcharges</t>
  </si>
  <si>
    <t xml:space="preserve">Estimated 2 months based on April </t>
  </si>
  <si>
    <t xml:space="preserve">    Depreciation and Amortization Expense</t>
  </si>
  <si>
    <t xml:space="preserve">      Depreciation</t>
  </si>
  <si>
    <t xml:space="preserve">        Depreciation Expense</t>
  </si>
  <si>
    <t>Cain Center for the Arts</t>
  </si>
  <si>
    <t xml:space="preserve">Cash Reserves and Restricted Funds Calculation </t>
  </si>
  <si>
    <t>Cash Reserves:</t>
  </si>
  <si>
    <t>Funds Restricted for Education:</t>
  </si>
  <si>
    <t>6/30/17 YE Operating Surplus</t>
  </si>
  <si>
    <t>Allen Tate Pledge</t>
  </si>
  <si>
    <t>6/30/18 YE Operating Surplus</t>
  </si>
  <si>
    <t>Cash received</t>
  </si>
  <si>
    <t>6/30/19 YE Operating Surplus</t>
  </si>
  <si>
    <t>Pledges Receivable</t>
  </si>
  <si>
    <t>TB</t>
  </si>
  <si>
    <t>Less Restricted Donation:</t>
  </si>
  <si>
    <t xml:space="preserve">Funds Restricted for Programming: </t>
  </si>
  <si>
    <t>Allen Tate Education (Pledged 6/2019)</t>
  </si>
  <si>
    <t>Rotary</t>
  </si>
  <si>
    <t>Arts Soiree Event</t>
  </si>
  <si>
    <t>October Event</t>
  </si>
  <si>
    <t>March 2020 class</t>
  </si>
  <si>
    <t>Restricted for Education</t>
  </si>
  <si>
    <t>#fq-35130</t>
  </si>
  <si>
    <t>Cornelius Cultural Art Group - Program</t>
  </si>
  <si>
    <t>Restricted for Education Cash Received</t>
  </si>
  <si>
    <t>Rotary Education</t>
  </si>
  <si>
    <t>Restriced for Programs</t>
  </si>
  <si>
    <t>#fq-35135</t>
  </si>
  <si>
    <t>Restricted for Programs Cash Received</t>
  </si>
  <si>
    <t>Uses of Cash Reserves:</t>
  </si>
  <si>
    <t>Increased Salaries</t>
  </si>
  <si>
    <t>Payroll Taxes est at 8%</t>
  </si>
  <si>
    <t>Coaching</t>
  </si>
  <si>
    <t>Computer Purchase</t>
  </si>
  <si>
    <t>Net Remaining Reserves</t>
  </si>
  <si>
    <t>Less position that has not been hired - Program Position</t>
  </si>
  <si>
    <t>PPP</t>
  </si>
  <si>
    <t>6/30/19 Cash Reserves Total</t>
  </si>
  <si>
    <t>4/30/20 YTD Operating Surplus (per projection attached)</t>
  </si>
  <si>
    <t>$500/month for Joseph (catching up from delayed invoicing)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</si>
</sst>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(#,##0.00\)"/>
    <numFmt numFmtId="165" formatCode="&quot;$&quot;\ #,##0.00;&quot;$&quot;\ \(#,##0.00\)"/>
  </numFmts>
  <fonts count="11" x14ac:knownFonts="1">
    <font>
      <sz val="10"/>
      <name val="Arial"/>
      <family val="2"/>
    </font>
    <font>
      <sz val="10"/>
      <color theme="1"/>
      <name val="Arial"/>
      <family val="2"/>
    </font>
    <font>
      <b/>
      <sz val="12"/>
      <name val="Helvetica"/>
      <family val="2"/>
    </font>
    <font>
      <sz val="10"/>
      <name val="Helvetica"/>
      <family val="2"/>
    </font>
    <font>
      <sz val="8"/>
      <name val="Helvetica"/>
      <family val="2"/>
    </font>
    <font>
      <b/>
      <sz val="10"/>
      <name val="Helvetica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8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right"/>
    </xf>
    <xf numFmtId="0" fontId="5" fillId="2" borderId="0" xfId="0" applyFont="1" applyFill="1" applyAlignment="1">
      <alignment horizontal="left"/>
    </xf>
    <xf numFmtId="164" fontId="3" fillId="2" borderId="0" xfId="0" applyNumberFormat="1" applyFont="1" applyFill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>
      <alignment horizontal="right"/>
    </xf>
    <xf numFmtId="165" fontId="5" fillId="2" borderId="4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right"/>
    </xf>
    <xf numFmtId="43" fontId="0" fillId="2" borderId="0" xfId="4" applyFont="1" applyFill="1"/>
    <xf numFmtId="43" fontId="0" fillId="2" borderId="1" xfId="4" applyFont="1" applyFill="1" applyBorder="1"/>
    <xf numFmtId="0" fontId="0" fillId="2" borderId="1" xfId="0" applyFill="1" applyBorder="1"/>
    <xf numFmtId="39" fontId="0" fillId="2" borderId="0" xfId="0" applyNumberFormat="1" applyFill="1"/>
    <xf numFmtId="43" fontId="0" fillId="2" borderId="0" xfId="4" applyFont="1" applyFill="1" applyBorder="1"/>
    <xf numFmtId="43" fontId="7" fillId="2" borderId="1" xfId="4" applyFont="1" applyFill="1" applyBorder="1" applyAlignment="1">
      <alignment horizontal="center" wrapText="1"/>
    </xf>
    <xf numFmtId="164" fontId="3" fillId="3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left"/>
    </xf>
    <xf numFmtId="14" fontId="3" fillId="2" borderId="1" xfId="0" applyNumberFormat="1" applyFont="1" applyFill="1" applyBorder="1" applyAlignment="1">
      <alignment horizontal="right"/>
    </xf>
    <xf numFmtId="0" fontId="3" fillId="2" borderId="0" xfId="0" applyFont="1" applyFill="1" applyAlignment="1"/>
    <xf numFmtId="0" fontId="3" fillId="2" borderId="1" xfId="0" applyFont="1" applyFill="1" applyBorder="1" applyAlignment="1"/>
    <xf numFmtId="164" fontId="3" fillId="2" borderId="0" xfId="0" applyNumberFormat="1" applyFont="1" applyFill="1" applyBorder="1" applyAlignment="1">
      <alignment horizontal="right"/>
    </xf>
    <xf numFmtId="0" fontId="9" fillId="0" borderId="0" xfId="6" applyFont="1"/>
    <xf numFmtId="0" fontId="1" fillId="0" borderId="0" xfId="6"/>
    <xf numFmtId="43" fontId="0" fillId="0" borderId="0" xfId="7" applyFont="1"/>
    <xf numFmtId="14" fontId="9" fillId="0" borderId="0" xfId="6" applyNumberFormat="1" applyFont="1" applyAlignment="1">
      <alignment horizontal="left"/>
    </xf>
    <xf numFmtId="43" fontId="0" fillId="0" borderId="1" xfId="7" applyFont="1" applyBorder="1"/>
    <xf numFmtId="0" fontId="10" fillId="0" borderId="0" xfId="6" applyFont="1"/>
    <xf numFmtId="43" fontId="0" fillId="0" borderId="1" xfId="7" applyFont="1" applyFill="1" applyBorder="1"/>
    <xf numFmtId="0" fontId="8" fillId="0" borderId="0" xfId="6" applyFont="1"/>
    <xf numFmtId="0" fontId="10" fillId="0" borderId="0" xfId="6" applyFont="1" applyAlignment="1">
      <alignment horizontal="left"/>
    </xf>
    <xf numFmtId="0" fontId="1" fillId="0" borderId="0" xfId="6" applyFont="1"/>
    <xf numFmtId="0" fontId="0" fillId="0" borderId="0" xfId="6" applyFont="1"/>
    <xf numFmtId="43" fontId="0" fillId="0" borderId="0" xfId="7" applyFont="1" applyBorder="1"/>
    <xf numFmtId="0" fontId="0" fillId="0" borderId="0" xfId="6" applyFont="1" applyFill="1"/>
    <xf numFmtId="43" fontId="1" fillId="0" borderId="0" xfId="6" applyNumberFormat="1"/>
    <xf numFmtId="4" fontId="1" fillId="0" borderId="0" xfId="6" applyNumberFormat="1"/>
    <xf numFmtId="14" fontId="1" fillId="0" borderId="0" xfId="6" applyNumberFormat="1"/>
    <xf numFmtId="164" fontId="3" fillId="0" borderId="0" xfId="0" applyNumberFormat="1" applyFont="1" applyFill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43" fontId="0" fillId="0" borderId="0" xfId="4" applyFont="1" applyFill="1"/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nelius%20Arts%20Center/Accounting/FY2020/10%20-%20April%2020/Z%20-%20Cash%20Reserves%20and%20Restricted%20for%20Education%202020_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063017"/>
      <sheetName val="063018"/>
      <sheetName val="063019"/>
      <sheetName val="073119"/>
      <sheetName val="083119"/>
      <sheetName val="093019"/>
      <sheetName val="103119"/>
      <sheetName val="113019"/>
      <sheetName val="123119"/>
      <sheetName val="010120"/>
      <sheetName val="022920"/>
      <sheetName val="033120"/>
      <sheetName val="043020"/>
    </sheetNames>
    <sheetDataSet>
      <sheetData sheetId="0" refreshError="1"/>
      <sheetData sheetId="1">
        <row r="30">
          <cell r="I30">
            <v>-10438.819999999996</v>
          </cell>
        </row>
      </sheetData>
      <sheetData sheetId="2">
        <row r="50">
          <cell r="I50">
            <v>-1272.7700000000077</v>
          </cell>
        </row>
      </sheetData>
      <sheetData sheetId="3">
        <row r="54">
          <cell r="I54">
            <v>-16546.639999999952</v>
          </cell>
        </row>
      </sheetData>
      <sheetData sheetId="4" refreshError="1"/>
      <sheetData sheetId="5" refreshError="1"/>
      <sheetData sheetId="6" refreshError="1"/>
      <sheetData sheetId="7">
        <row r="25">
          <cell r="F25">
            <v>-11832.69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7">
          <cell r="F27">
            <v>-269166.67</v>
          </cell>
        </row>
        <row r="29">
          <cell r="F29">
            <v>-12516.52</v>
          </cell>
        </row>
        <row r="30">
          <cell r="F30">
            <v>-20596.689999999999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4" zoomScale="120" zoomScaleNormal="120" workbookViewId="0">
      <selection activeCell="A33" sqref="A33"/>
    </sheetView>
  </sheetViews>
  <sheetFormatPr defaultRowHeight="12.75" x14ac:dyDescent="0.2"/>
  <cols>
    <col min="1" max="1" width="48.85546875" style="28" bestFit="1" customWidth="1"/>
    <col min="2" max="2" width="3.42578125" style="28" customWidth="1"/>
    <col min="3" max="3" width="13.5703125" style="29" bestFit="1" customWidth="1"/>
    <col min="4" max="5" width="11.28515625" style="28" bestFit="1" customWidth="1"/>
    <col min="6" max="6" width="10.140625" style="28" bestFit="1" customWidth="1"/>
    <col min="7" max="7" width="34.5703125" style="28" hidden="1" customWidth="1"/>
    <col min="8" max="8" width="4.140625" style="28" hidden="1" customWidth="1"/>
    <col min="9" max="9" width="10.85546875" style="28" hidden="1" customWidth="1"/>
    <col min="10" max="10" width="11.28515625" style="28" hidden="1" customWidth="1"/>
    <col min="11" max="11" width="5.5703125" style="28" hidden="1" customWidth="1"/>
    <col min="12" max="12" width="10.85546875" style="28" hidden="1" customWidth="1"/>
    <col min="13" max="16384" width="9.140625" style="28"/>
  </cols>
  <sheetData>
    <row r="1" spans="1:10" x14ac:dyDescent="0.2">
      <c r="A1" s="27" t="s">
        <v>92</v>
      </c>
    </row>
    <row r="2" spans="1:10" x14ac:dyDescent="0.2">
      <c r="A2" s="27" t="s">
        <v>93</v>
      </c>
    </row>
    <row r="3" spans="1:10" x14ac:dyDescent="0.2">
      <c r="A3" s="30">
        <v>43951</v>
      </c>
    </row>
    <row r="6" spans="1:10" x14ac:dyDescent="0.2">
      <c r="A6" s="28" t="s">
        <v>94</v>
      </c>
      <c r="G6" s="28" t="s">
        <v>95</v>
      </c>
      <c r="I6" s="29"/>
    </row>
    <row r="7" spans="1:10" x14ac:dyDescent="0.2">
      <c r="A7" s="28" t="s">
        <v>96</v>
      </c>
      <c r="C7" s="29">
        <f>+-'[1]063017'!I30</f>
        <v>10438.819999999996</v>
      </c>
      <c r="G7" s="28" t="s">
        <v>97</v>
      </c>
      <c r="I7" s="29">
        <v>4755</v>
      </c>
    </row>
    <row r="8" spans="1:10" x14ac:dyDescent="0.2">
      <c r="A8" s="28" t="s">
        <v>98</v>
      </c>
      <c r="C8" s="29">
        <f>+-'[1]063018'!I50</f>
        <v>1272.7700000000077</v>
      </c>
      <c r="G8" s="28" t="s">
        <v>99</v>
      </c>
      <c r="I8" s="31">
        <v>-4755</v>
      </c>
    </row>
    <row r="9" spans="1:10" x14ac:dyDescent="0.2">
      <c r="A9" s="28" t="s">
        <v>100</v>
      </c>
      <c r="C9" s="31">
        <f>+-'[1]063019'!I54</f>
        <v>16546.639999999952</v>
      </c>
      <c r="G9" s="28" t="s">
        <v>101</v>
      </c>
      <c r="I9" s="29">
        <f>SUM(I7:I8)</f>
        <v>0</v>
      </c>
      <c r="J9" s="32" t="s">
        <v>102</v>
      </c>
    </row>
    <row r="10" spans="1:10" x14ac:dyDescent="0.2">
      <c r="C10" s="29">
        <f>SUM(C7:C9)</f>
        <v>28258.229999999956</v>
      </c>
      <c r="I10" s="29"/>
    </row>
    <row r="11" spans="1:10" x14ac:dyDescent="0.2">
      <c r="A11" s="28" t="s">
        <v>103</v>
      </c>
      <c r="G11" s="28" t="s">
        <v>104</v>
      </c>
    </row>
    <row r="12" spans="1:10" x14ac:dyDescent="0.2">
      <c r="A12" s="36" t="s">
        <v>107</v>
      </c>
      <c r="C12" s="29">
        <f>+-I16</f>
        <v>-703</v>
      </c>
    </row>
    <row r="13" spans="1:10" x14ac:dyDescent="0.2">
      <c r="A13" s="28" t="s">
        <v>105</v>
      </c>
      <c r="C13" s="33">
        <f>-4755-I16</f>
        <v>-5458</v>
      </c>
      <c r="D13" s="34"/>
    </row>
    <row r="14" spans="1:10" x14ac:dyDescent="0.2">
      <c r="J14" s="32"/>
    </row>
    <row r="15" spans="1:10" x14ac:dyDescent="0.2">
      <c r="A15" s="28" t="s">
        <v>126</v>
      </c>
      <c r="C15" s="31">
        <f>+C10+C13+C12</f>
        <v>22097.229999999956</v>
      </c>
      <c r="G15" s="28" t="s">
        <v>106</v>
      </c>
      <c r="I15" s="29">
        <f>-C22</f>
        <v>8764</v>
      </c>
      <c r="J15" s="35"/>
    </row>
    <row r="16" spans="1:10" x14ac:dyDescent="0.2">
      <c r="G16" s="36" t="s">
        <v>107</v>
      </c>
      <c r="I16" s="29">
        <v>703</v>
      </c>
    </row>
    <row r="17" spans="1:13" x14ac:dyDescent="0.2">
      <c r="A17" s="28" t="s">
        <v>127</v>
      </c>
      <c r="C17" s="29">
        <f>+'Statement of Activities - Actua'!G74</f>
        <v>99891.919999999984</v>
      </c>
      <c r="D17" s="34"/>
      <c r="G17" s="37" t="s">
        <v>108</v>
      </c>
      <c r="I17" s="38">
        <v>12516.52</v>
      </c>
    </row>
    <row r="18" spans="1:13" x14ac:dyDescent="0.2">
      <c r="G18" s="39" t="s">
        <v>109</v>
      </c>
      <c r="I18" s="31">
        <v>-2000</v>
      </c>
    </row>
    <row r="19" spans="1:13" x14ac:dyDescent="0.2">
      <c r="A19" s="28" t="s">
        <v>103</v>
      </c>
      <c r="G19" s="28" t="s">
        <v>110</v>
      </c>
      <c r="I19" s="29">
        <f>+I7+I15+I16+I17+I18</f>
        <v>24738.52</v>
      </c>
      <c r="J19" s="40">
        <f>-I19</f>
        <v>-24738.52</v>
      </c>
      <c r="K19" s="32" t="s">
        <v>111</v>
      </c>
      <c r="L19" s="32" t="s">
        <v>102</v>
      </c>
      <c r="M19" s="32"/>
    </row>
    <row r="20" spans="1:13" x14ac:dyDescent="0.2">
      <c r="A20" s="28" t="s">
        <v>112</v>
      </c>
      <c r="C20" s="29">
        <v>-11832.69</v>
      </c>
      <c r="G20" s="28" t="s">
        <v>113</v>
      </c>
      <c r="I20" s="29">
        <f>+-I8+I15+I16+I17</f>
        <v>26738.52</v>
      </c>
    </row>
    <row r="21" spans="1:13" x14ac:dyDescent="0.2">
      <c r="A21" s="37" t="s">
        <v>108</v>
      </c>
      <c r="C21" s="29">
        <f>+-I17</f>
        <v>-12516.52</v>
      </c>
      <c r="I21" s="29"/>
    </row>
    <row r="22" spans="1:13" x14ac:dyDescent="0.2">
      <c r="A22" s="28" t="s">
        <v>114</v>
      </c>
      <c r="C22" s="31">
        <v>-8764</v>
      </c>
      <c r="D22" s="40">
        <f>SUM(C20:C22)</f>
        <v>-33113.21</v>
      </c>
      <c r="E22" s="29">
        <f>+'[1]043020'!F30+'[1]043020'!F29</f>
        <v>-33113.21</v>
      </c>
      <c r="F22" s="41">
        <f>+D22-E22</f>
        <v>0</v>
      </c>
    </row>
    <row r="23" spans="1:13" x14ac:dyDescent="0.2">
      <c r="G23" s="39" t="s">
        <v>115</v>
      </c>
      <c r="I23" s="29" t="e">
        <f>#REF!</f>
        <v>#REF!</v>
      </c>
      <c r="J23" s="40" t="e">
        <f>-I23</f>
        <v>#REF!</v>
      </c>
      <c r="K23" s="32" t="s">
        <v>116</v>
      </c>
      <c r="L23" s="32" t="s">
        <v>102</v>
      </c>
    </row>
    <row r="24" spans="1:13" x14ac:dyDescent="0.2">
      <c r="A24" s="42">
        <v>43951</v>
      </c>
      <c r="C24" s="29">
        <f>SUM(C15:C22)</f>
        <v>88875.93999999993</v>
      </c>
      <c r="G24" s="37" t="s">
        <v>117</v>
      </c>
      <c r="I24" s="40" t="e">
        <f>+I23</f>
        <v>#REF!</v>
      </c>
    </row>
    <row r="26" spans="1:13" x14ac:dyDescent="0.2">
      <c r="A26" s="28" t="s">
        <v>118</v>
      </c>
    </row>
    <row r="27" spans="1:13" x14ac:dyDescent="0.2">
      <c r="A27" s="28" t="s">
        <v>119</v>
      </c>
      <c r="C27" s="29">
        <v>7000</v>
      </c>
    </row>
    <row r="28" spans="1:13" x14ac:dyDescent="0.2">
      <c r="A28" s="28" t="s">
        <v>120</v>
      </c>
      <c r="C28" s="29">
        <f>+C27*0.08</f>
        <v>560</v>
      </c>
    </row>
    <row r="29" spans="1:13" x14ac:dyDescent="0.2">
      <c r="A29" s="28" t="s">
        <v>121</v>
      </c>
      <c r="C29" s="29">
        <v>6000</v>
      </c>
    </row>
    <row r="30" spans="1:13" x14ac:dyDescent="0.2">
      <c r="A30" s="28" t="s">
        <v>122</v>
      </c>
      <c r="C30" s="29">
        <v>2004.46</v>
      </c>
    </row>
    <row r="32" spans="1:13" x14ac:dyDescent="0.2">
      <c r="A32" s="28" t="s">
        <v>123</v>
      </c>
      <c r="C32" s="29">
        <f>+C24-SUM(C27:C30)</f>
        <v>73311.479999999923</v>
      </c>
    </row>
    <row r="33" spans="1:3" x14ac:dyDescent="0.2">
      <c r="A33" s="28" t="s">
        <v>124</v>
      </c>
      <c r="C33" s="29">
        <f>-31000*1.08</f>
        <v>-33480</v>
      </c>
    </row>
    <row r="34" spans="1:3" x14ac:dyDescent="0.2">
      <c r="A34" s="28" t="s">
        <v>123</v>
      </c>
      <c r="C34" s="29">
        <f>SUM(C32:C33)</f>
        <v>39831.479999999923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workbookViewId="0">
      <pane ySplit="8" topLeftCell="A45" activePane="bottomLeft" state="frozen"/>
      <selection pane="bottomLeft" activeCell="I77" sqref="I77"/>
    </sheetView>
  </sheetViews>
  <sheetFormatPr defaultColWidth="9.140625" defaultRowHeight="12.75" x14ac:dyDescent="0.2"/>
  <cols>
    <col min="1" max="1" width="55.42578125" style="1" customWidth="1"/>
    <col min="2" max="2" width="16.140625" style="1" hidden="1" customWidth="1"/>
    <col min="3" max="3" width="13.140625" style="1" customWidth="1"/>
    <col min="4" max="4" width="12.140625" style="1" customWidth="1"/>
    <col min="5" max="5" width="15.42578125" style="1" hidden="1" customWidth="1"/>
    <col min="6" max="6" width="12.85546875" style="1" bestFit="1" customWidth="1"/>
    <col min="7" max="7" width="13.140625" style="1" bestFit="1" customWidth="1"/>
    <col min="8" max="8" width="19.28515625" style="1" customWidth="1"/>
    <col min="9" max="9" width="49.7109375" style="1" bestFit="1" customWidth="1"/>
    <col min="10" max="16384" width="9.140625" style="1"/>
  </cols>
  <sheetData>
    <row r="1" spans="1:9" ht="15.75" x14ac:dyDescent="0.25">
      <c r="A1" s="3" t="s">
        <v>0</v>
      </c>
    </row>
    <row r="2" spans="1:9" ht="15.75" x14ac:dyDescent="0.25">
      <c r="A2" s="3" t="s">
        <v>1</v>
      </c>
    </row>
    <row r="3" spans="1:9" x14ac:dyDescent="0.2">
      <c r="A3" s="22" t="s">
        <v>2</v>
      </c>
      <c r="B3" s="22" t="s">
        <v>3</v>
      </c>
    </row>
    <row r="4" spans="1:9" x14ac:dyDescent="0.2">
      <c r="A4" s="22" t="s">
        <v>4</v>
      </c>
      <c r="B4" s="22" t="s">
        <v>5</v>
      </c>
    </row>
    <row r="5" spans="1:9" x14ac:dyDescent="0.2">
      <c r="A5" s="2" t="s">
        <v>6</v>
      </c>
    </row>
    <row r="6" spans="1:9" x14ac:dyDescent="0.2">
      <c r="A6" s="22" t="s">
        <v>6</v>
      </c>
      <c r="B6" s="4" t="s">
        <v>7</v>
      </c>
      <c r="C6" s="4" t="s">
        <v>8</v>
      </c>
      <c r="D6" s="24" t="s">
        <v>9</v>
      </c>
      <c r="E6" s="24"/>
      <c r="F6" s="15"/>
      <c r="H6" s="15"/>
    </row>
    <row r="7" spans="1:9" ht="38.25" x14ac:dyDescent="0.2">
      <c r="A7" s="22" t="s">
        <v>6</v>
      </c>
      <c r="B7" s="5" t="s">
        <v>3</v>
      </c>
      <c r="C7" s="23">
        <v>43951</v>
      </c>
      <c r="D7" s="25" t="s">
        <v>10</v>
      </c>
      <c r="E7" s="25"/>
      <c r="F7" s="16" t="s">
        <v>72</v>
      </c>
      <c r="G7" s="17" t="s">
        <v>73</v>
      </c>
      <c r="H7" s="20" t="s">
        <v>74</v>
      </c>
      <c r="I7" s="1" t="s">
        <v>75</v>
      </c>
    </row>
    <row r="8" spans="1:9" x14ac:dyDescent="0.2">
      <c r="A8" s="6" t="s">
        <v>6</v>
      </c>
      <c r="B8" s="7" t="s">
        <v>11</v>
      </c>
      <c r="C8" s="7" t="s">
        <v>12</v>
      </c>
      <c r="D8" s="7" t="s">
        <v>13</v>
      </c>
      <c r="E8" s="7" t="s">
        <v>14</v>
      </c>
      <c r="F8" s="7"/>
      <c r="G8" s="7"/>
      <c r="H8" s="7"/>
    </row>
    <row r="9" spans="1:9" x14ac:dyDescent="0.2">
      <c r="A9" s="24" t="s">
        <v>6</v>
      </c>
      <c r="B9" s="24"/>
      <c r="C9" s="24"/>
      <c r="D9" s="24"/>
      <c r="E9" s="24"/>
      <c r="F9" s="15"/>
      <c r="H9" s="19"/>
    </row>
    <row r="10" spans="1:9" x14ac:dyDescent="0.2">
      <c r="A10" s="8" t="s">
        <v>15</v>
      </c>
      <c r="B10" s="8" t="s">
        <v>16</v>
      </c>
      <c r="C10" s="8" t="s">
        <v>16</v>
      </c>
      <c r="D10" s="8" t="s">
        <v>16</v>
      </c>
      <c r="E10" s="8" t="s">
        <v>16</v>
      </c>
      <c r="F10" s="8"/>
      <c r="G10" s="8"/>
      <c r="H10" s="8"/>
    </row>
    <row r="11" spans="1:9" x14ac:dyDescent="0.2">
      <c r="A11" s="22" t="s">
        <v>17</v>
      </c>
      <c r="B11" s="9">
        <v>26916.66</v>
      </c>
      <c r="C11" s="9">
        <v>269166.67</v>
      </c>
      <c r="D11" s="9">
        <v>323000</v>
      </c>
      <c r="E11" s="9">
        <v>-50</v>
      </c>
      <c r="F11" s="9">
        <f>+B11*2</f>
        <v>53833.32</v>
      </c>
      <c r="G11" s="9">
        <f>+C11+F11</f>
        <v>322999.99</v>
      </c>
      <c r="H11" s="9">
        <f>+G11-D11</f>
        <v>-1.0000000009313226E-2</v>
      </c>
      <c r="I11" s="1" t="s">
        <v>76</v>
      </c>
    </row>
    <row r="12" spans="1:9" x14ac:dyDescent="0.2">
      <c r="A12" s="22" t="s">
        <v>18</v>
      </c>
      <c r="B12" s="9">
        <v>8000</v>
      </c>
      <c r="C12" s="9">
        <v>9331</v>
      </c>
      <c r="D12" s="9">
        <v>15000</v>
      </c>
      <c r="E12" s="9">
        <v>-46.66</v>
      </c>
      <c r="F12" s="43">
        <v>41400</v>
      </c>
      <c r="G12" s="9">
        <f t="shared" ref="G12:G14" si="0">+C12+F12</f>
        <v>50731</v>
      </c>
      <c r="H12" s="9">
        <f t="shared" ref="H12:H14" si="1">+G12-D12</f>
        <v>35731</v>
      </c>
      <c r="I12" s="1" t="s">
        <v>125</v>
      </c>
    </row>
    <row r="13" spans="1:9" x14ac:dyDescent="0.2">
      <c r="A13" s="22" t="s">
        <v>19</v>
      </c>
      <c r="B13" s="9">
        <v>0</v>
      </c>
      <c r="C13" s="9">
        <v>12516.52</v>
      </c>
      <c r="D13" s="9">
        <v>0</v>
      </c>
      <c r="E13" s="9">
        <v>-100</v>
      </c>
      <c r="F13" s="43"/>
      <c r="G13" s="9">
        <f t="shared" si="0"/>
        <v>12516.52</v>
      </c>
      <c r="H13" s="9">
        <f t="shared" si="1"/>
        <v>12516.52</v>
      </c>
      <c r="I13" s="1" t="s">
        <v>79</v>
      </c>
    </row>
    <row r="14" spans="1:9" x14ac:dyDescent="0.2">
      <c r="A14" s="22" t="s">
        <v>20</v>
      </c>
      <c r="B14" s="9">
        <v>0</v>
      </c>
      <c r="C14" s="9">
        <v>20596.689999999999</v>
      </c>
      <c r="D14" s="9">
        <v>0</v>
      </c>
      <c r="E14" s="9">
        <v>-100</v>
      </c>
      <c r="F14" s="43"/>
      <c r="G14" s="9">
        <f t="shared" si="0"/>
        <v>20596.689999999999</v>
      </c>
      <c r="H14" s="9">
        <f t="shared" si="1"/>
        <v>20596.689999999999</v>
      </c>
      <c r="I14" s="1" t="s">
        <v>80</v>
      </c>
    </row>
    <row r="15" spans="1:9" x14ac:dyDescent="0.2">
      <c r="A15" s="22" t="s">
        <v>21</v>
      </c>
      <c r="B15" s="9">
        <v>45446.5</v>
      </c>
      <c r="C15" s="9">
        <v>134926.62</v>
      </c>
      <c r="D15" s="9">
        <v>0</v>
      </c>
      <c r="E15" s="9">
        <v>-100</v>
      </c>
      <c r="F15" s="43"/>
      <c r="G15" s="9"/>
      <c r="H15" s="9">
        <f>+G15-D15</f>
        <v>0</v>
      </c>
      <c r="I15" s="1" t="s">
        <v>81</v>
      </c>
    </row>
    <row r="16" spans="1:9" x14ac:dyDescent="0.2">
      <c r="A16" s="22" t="s">
        <v>22</v>
      </c>
      <c r="B16" s="10">
        <v>80363.16</v>
      </c>
      <c r="C16" s="10">
        <f>SUM(C11:C15)</f>
        <v>446537.5</v>
      </c>
      <c r="D16" s="10">
        <v>338000</v>
      </c>
      <c r="E16" s="10">
        <v>-0.13</v>
      </c>
      <c r="F16" s="44">
        <f>SUM(F11:F15)</f>
        <v>95233.32</v>
      </c>
      <c r="G16" s="10">
        <f>SUM(G11:G15)</f>
        <v>406844.2</v>
      </c>
      <c r="H16" s="10">
        <f>SUM(H11:H15)</f>
        <v>68844.2</v>
      </c>
    </row>
    <row r="17" spans="1:9" x14ac:dyDescent="0.2">
      <c r="A17" s="24" t="s">
        <v>6</v>
      </c>
      <c r="B17" s="24"/>
      <c r="C17" s="24"/>
      <c r="D17" s="24"/>
      <c r="E17" s="24"/>
      <c r="F17" s="45"/>
      <c r="H17" s="15"/>
    </row>
    <row r="18" spans="1:9" x14ac:dyDescent="0.2">
      <c r="A18" s="8" t="s">
        <v>23</v>
      </c>
      <c r="B18" s="8" t="s">
        <v>16</v>
      </c>
      <c r="C18" s="8" t="s">
        <v>16</v>
      </c>
      <c r="D18" s="8" t="s">
        <v>16</v>
      </c>
      <c r="E18" s="8" t="s">
        <v>16</v>
      </c>
      <c r="F18" s="46"/>
      <c r="G18" s="8"/>
      <c r="H18" s="8" t="s">
        <v>77</v>
      </c>
    </row>
    <row r="19" spans="1:9" x14ac:dyDescent="0.2">
      <c r="A19" s="22" t="s">
        <v>24</v>
      </c>
      <c r="B19" s="22" t="s">
        <v>25</v>
      </c>
      <c r="C19" s="22" t="s">
        <v>25</v>
      </c>
      <c r="D19" s="22" t="s">
        <v>25</v>
      </c>
      <c r="E19" s="22" t="s">
        <v>25</v>
      </c>
      <c r="F19" s="47"/>
      <c r="G19" s="22"/>
      <c r="H19" s="22"/>
    </row>
    <row r="20" spans="1:9" x14ac:dyDescent="0.2">
      <c r="A20" s="22" t="s">
        <v>26</v>
      </c>
      <c r="B20" s="22" t="s">
        <v>27</v>
      </c>
      <c r="C20" s="22" t="s">
        <v>27</v>
      </c>
      <c r="D20" s="22" t="s">
        <v>27</v>
      </c>
      <c r="E20" s="22" t="s">
        <v>27</v>
      </c>
      <c r="F20" s="47"/>
      <c r="G20" s="22"/>
      <c r="H20" s="22"/>
    </row>
    <row r="21" spans="1:9" x14ac:dyDescent="0.2">
      <c r="A21" s="22" t="s">
        <v>28</v>
      </c>
      <c r="B21" s="9">
        <v>194.6</v>
      </c>
      <c r="C21" s="9">
        <v>1367.04</v>
      </c>
      <c r="D21" s="9">
        <v>3000</v>
      </c>
      <c r="E21" s="9">
        <v>24.85</v>
      </c>
      <c r="F21" s="43">
        <v>200</v>
      </c>
      <c r="G21" s="9">
        <f t="shared" ref="G21:H27" si="2">+C21+F21</f>
        <v>1567.04</v>
      </c>
      <c r="H21" s="9">
        <f>+D21-G21</f>
        <v>1432.96</v>
      </c>
      <c r="I21" s="1" t="s">
        <v>82</v>
      </c>
    </row>
    <row r="22" spans="1:9" x14ac:dyDescent="0.2">
      <c r="A22" s="22" t="s">
        <v>29</v>
      </c>
      <c r="B22" s="9">
        <v>225</v>
      </c>
      <c r="C22" s="9">
        <v>820</v>
      </c>
      <c r="D22" s="9">
        <v>1980</v>
      </c>
      <c r="E22" s="9">
        <v>69.94</v>
      </c>
      <c r="F22" s="43">
        <v>1100</v>
      </c>
      <c r="G22" s="9">
        <f t="shared" si="2"/>
        <v>1920</v>
      </c>
      <c r="H22" s="9">
        <f>+D22-G22</f>
        <v>60</v>
      </c>
      <c r="I22" s="1" t="s">
        <v>78</v>
      </c>
    </row>
    <row r="23" spans="1:9" x14ac:dyDescent="0.2">
      <c r="A23" s="22" t="s">
        <v>83</v>
      </c>
      <c r="B23" s="9"/>
      <c r="C23" s="9"/>
      <c r="D23" s="9"/>
      <c r="E23" s="9"/>
      <c r="F23" s="43"/>
      <c r="G23" s="9"/>
      <c r="H23" s="9"/>
    </row>
    <row r="24" spans="1:9" x14ac:dyDescent="0.2">
      <c r="A24" s="22" t="s">
        <v>84</v>
      </c>
      <c r="B24" s="9"/>
      <c r="C24" s="9">
        <v>2000</v>
      </c>
      <c r="D24" s="9">
        <v>0</v>
      </c>
      <c r="E24" s="9"/>
      <c r="F24" s="9"/>
      <c r="G24" s="9">
        <f t="shared" si="2"/>
        <v>2000</v>
      </c>
      <c r="H24" s="9">
        <f t="shared" si="2"/>
        <v>2000</v>
      </c>
    </row>
    <row r="25" spans="1:9" x14ac:dyDescent="0.2">
      <c r="A25" s="22" t="s">
        <v>30</v>
      </c>
      <c r="B25" s="22" t="s">
        <v>27</v>
      </c>
      <c r="C25" s="22" t="s">
        <v>27</v>
      </c>
      <c r="D25" s="22" t="s">
        <v>27</v>
      </c>
      <c r="E25" s="22" t="s">
        <v>27</v>
      </c>
      <c r="F25" s="22"/>
      <c r="G25" s="22"/>
      <c r="H25" s="22"/>
    </row>
    <row r="26" spans="1:9" x14ac:dyDescent="0.2">
      <c r="A26" s="22" t="s">
        <v>85</v>
      </c>
      <c r="B26" s="22"/>
      <c r="C26" s="9">
        <v>30</v>
      </c>
      <c r="D26" s="22"/>
      <c r="E26" s="22"/>
      <c r="F26" s="22"/>
      <c r="G26" s="9">
        <f t="shared" si="2"/>
        <v>30</v>
      </c>
      <c r="H26" s="9">
        <f t="shared" ref="H26:H28" si="3">+D26-G26</f>
        <v>-30</v>
      </c>
    </row>
    <row r="27" spans="1:9" x14ac:dyDescent="0.2">
      <c r="A27" s="22" t="s">
        <v>31</v>
      </c>
      <c r="B27" s="22"/>
      <c r="C27" s="9">
        <v>29.3</v>
      </c>
      <c r="D27" s="22"/>
      <c r="E27" s="22"/>
      <c r="F27" s="22"/>
      <c r="G27" s="9">
        <f t="shared" si="2"/>
        <v>29.3</v>
      </c>
      <c r="H27" s="9">
        <f t="shared" si="3"/>
        <v>-29.3</v>
      </c>
    </row>
    <row r="28" spans="1:9" x14ac:dyDescent="0.2">
      <c r="A28" s="22" t="s">
        <v>86</v>
      </c>
      <c r="B28" s="9">
        <v>29.3</v>
      </c>
      <c r="C28" s="9">
        <v>257.5</v>
      </c>
      <c r="D28" s="9">
        <v>0</v>
      </c>
      <c r="E28" s="9">
        <v>-100</v>
      </c>
      <c r="F28" s="9"/>
      <c r="G28" s="9">
        <f t="shared" ref="G28" si="4">+C28+F28</f>
        <v>257.5</v>
      </c>
      <c r="H28" s="9">
        <f t="shared" si="3"/>
        <v>-257.5</v>
      </c>
    </row>
    <row r="29" spans="1:9" x14ac:dyDescent="0.2">
      <c r="A29" s="22" t="s">
        <v>32</v>
      </c>
      <c r="B29" s="22" t="s">
        <v>27</v>
      </c>
      <c r="C29" s="22" t="s">
        <v>27</v>
      </c>
      <c r="D29" s="22" t="s">
        <v>27</v>
      </c>
      <c r="E29" s="22" t="s">
        <v>27</v>
      </c>
      <c r="F29" s="22"/>
      <c r="G29" s="22"/>
      <c r="H29" s="22"/>
    </row>
    <row r="30" spans="1:9" x14ac:dyDescent="0.2">
      <c r="A30" s="22" t="s">
        <v>33</v>
      </c>
      <c r="B30" s="22" t="s">
        <v>34</v>
      </c>
      <c r="C30" s="22" t="s">
        <v>34</v>
      </c>
      <c r="D30" s="22" t="s">
        <v>34</v>
      </c>
      <c r="E30" s="22" t="s">
        <v>34</v>
      </c>
      <c r="F30" s="22"/>
      <c r="G30" s="22"/>
      <c r="H30" s="22"/>
    </row>
    <row r="31" spans="1:9" x14ac:dyDescent="0.2">
      <c r="A31" s="22" t="s">
        <v>35</v>
      </c>
      <c r="B31" s="9">
        <v>763.61</v>
      </c>
      <c r="C31" s="9">
        <v>2881.58</v>
      </c>
      <c r="D31" s="9">
        <v>4080</v>
      </c>
      <c r="E31" s="9">
        <v>31.64</v>
      </c>
      <c r="F31" s="43"/>
      <c r="G31" s="9">
        <f>+C31+F31</f>
        <v>2881.58</v>
      </c>
      <c r="H31" s="9">
        <f>+D31-G31</f>
        <v>1198.42</v>
      </c>
    </row>
    <row r="32" spans="1:9" x14ac:dyDescent="0.2">
      <c r="A32" s="22" t="s">
        <v>36</v>
      </c>
      <c r="B32" s="9">
        <v>487.64</v>
      </c>
      <c r="C32" s="9">
        <v>753.66</v>
      </c>
      <c r="D32" s="9">
        <v>425</v>
      </c>
      <c r="E32" s="9">
        <v>-77.33</v>
      </c>
      <c r="F32" s="43"/>
      <c r="G32" s="9">
        <f t="shared" ref="G32:G34" si="5">+C32+F32</f>
        <v>753.66</v>
      </c>
      <c r="H32" s="9">
        <f t="shared" ref="H32:H34" si="6">+D32-G32</f>
        <v>-328.65999999999997</v>
      </c>
    </row>
    <row r="33" spans="1:9" x14ac:dyDescent="0.2">
      <c r="A33" s="22" t="s">
        <v>37</v>
      </c>
      <c r="B33" s="9">
        <v>280.75</v>
      </c>
      <c r="C33" s="9">
        <v>2897.67</v>
      </c>
      <c r="D33" s="9">
        <v>3655</v>
      </c>
      <c r="E33" s="9">
        <v>39.19</v>
      </c>
      <c r="F33" s="43">
        <v>200</v>
      </c>
      <c r="G33" s="9">
        <f t="shared" si="5"/>
        <v>3097.67</v>
      </c>
      <c r="H33" s="9">
        <f t="shared" si="6"/>
        <v>557.32999999999993</v>
      </c>
    </row>
    <row r="34" spans="1:9" x14ac:dyDescent="0.2">
      <c r="A34" s="22" t="s">
        <v>38</v>
      </c>
      <c r="B34" s="9">
        <v>0</v>
      </c>
      <c r="C34" s="9">
        <v>16</v>
      </c>
      <c r="D34" s="9">
        <v>340</v>
      </c>
      <c r="E34" s="9">
        <v>95.29</v>
      </c>
      <c r="F34" s="43"/>
      <c r="G34" s="9">
        <f t="shared" si="5"/>
        <v>16</v>
      </c>
      <c r="H34" s="9">
        <f t="shared" si="6"/>
        <v>324</v>
      </c>
    </row>
    <row r="35" spans="1:9" x14ac:dyDescent="0.2">
      <c r="A35" s="22" t="s">
        <v>39</v>
      </c>
      <c r="B35" s="22" t="s">
        <v>27</v>
      </c>
      <c r="C35" s="22" t="s">
        <v>27</v>
      </c>
      <c r="D35" s="22" t="s">
        <v>27</v>
      </c>
      <c r="E35" s="22" t="s">
        <v>27</v>
      </c>
      <c r="F35" s="47"/>
      <c r="G35" s="22"/>
      <c r="H35" s="22"/>
    </row>
    <row r="36" spans="1:9" x14ac:dyDescent="0.2">
      <c r="A36" s="22" t="s">
        <v>40</v>
      </c>
      <c r="B36" s="9">
        <v>399</v>
      </c>
      <c r="C36" s="9">
        <v>3600</v>
      </c>
      <c r="D36" s="9">
        <v>3400</v>
      </c>
      <c r="E36" s="9">
        <v>38.409999999999997</v>
      </c>
      <c r="F36" s="43">
        <f>369*2</f>
        <v>738</v>
      </c>
      <c r="G36" s="9">
        <f t="shared" ref="G36:G37" si="7">+C36+F36</f>
        <v>4338</v>
      </c>
      <c r="H36" s="9">
        <f t="shared" ref="H36:H37" si="8">+D36-G36</f>
        <v>-938</v>
      </c>
      <c r="I36" s="1" t="s">
        <v>88</v>
      </c>
    </row>
    <row r="37" spans="1:9" x14ac:dyDescent="0.2">
      <c r="A37" s="22" t="s">
        <v>41</v>
      </c>
      <c r="B37" s="9">
        <v>184.6</v>
      </c>
      <c r="C37" s="9">
        <v>2324.96</v>
      </c>
      <c r="D37" s="9">
        <v>2000</v>
      </c>
      <c r="E37" s="9">
        <v>25.2</v>
      </c>
      <c r="F37" s="43"/>
      <c r="G37" s="9">
        <f t="shared" si="7"/>
        <v>2324.96</v>
      </c>
      <c r="H37" s="9">
        <f t="shared" si="8"/>
        <v>-324.96000000000004</v>
      </c>
    </row>
    <row r="38" spans="1:9" x14ac:dyDescent="0.2">
      <c r="A38" s="22" t="s">
        <v>42</v>
      </c>
      <c r="B38" s="22" t="s">
        <v>27</v>
      </c>
      <c r="C38" s="22" t="s">
        <v>27</v>
      </c>
      <c r="D38" s="22" t="s">
        <v>27</v>
      </c>
      <c r="E38" s="22" t="s">
        <v>27</v>
      </c>
      <c r="F38" s="47"/>
      <c r="G38" s="22"/>
      <c r="H38" s="22"/>
    </row>
    <row r="39" spans="1:9" x14ac:dyDescent="0.2">
      <c r="A39" s="22" t="s">
        <v>43</v>
      </c>
      <c r="B39" s="9">
        <v>338.52</v>
      </c>
      <c r="C39" s="9">
        <v>3150.94</v>
      </c>
      <c r="D39" s="9">
        <v>3726</v>
      </c>
      <c r="E39" s="9">
        <v>48.07</v>
      </c>
      <c r="F39" s="43">
        <f>200.5*2</f>
        <v>401</v>
      </c>
      <c r="G39" s="9">
        <f t="shared" ref="G39" si="9">+C39+F39</f>
        <v>3551.94</v>
      </c>
      <c r="H39" s="9">
        <f t="shared" ref="H39" si="10">+D39-G39</f>
        <v>174.05999999999995</v>
      </c>
      <c r="I39" s="1" t="s">
        <v>88</v>
      </c>
    </row>
    <row r="40" spans="1:9" x14ac:dyDescent="0.2">
      <c r="A40" s="22" t="s">
        <v>44</v>
      </c>
      <c r="B40" s="11">
        <v>2903.02</v>
      </c>
      <c r="C40" s="11">
        <f>SUM(C21:C39)</f>
        <v>20128.649999999998</v>
      </c>
      <c r="D40" s="11">
        <v>22606</v>
      </c>
      <c r="E40" s="11">
        <v>37.25</v>
      </c>
      <c r="F40" s="11">
        <f>SUM(F21:F39)</f>
        <v>2639</v>
      </c>
      <c r="G40" s="11">
        <f>+C40+F40</f>
        <v>22767.649999999998</v>
      </c>
      <c r="H40" s="11">
        <f>+D40-G40</f>
        <v>-161.64999999999782</v>
      </c>
    </row>
    <row r="41" spans="1:9" x14ac:dyDescent="0.2">
      <c r="A41" s="24" t="s">
        <v>6</v>
      </c>
      <c r="B41" s="24"/>
      <c r="C41" s="24"/>
      <c r="D41" s="24"/>
      <c r="E41" s="24"/>
      <c r="F41" s="15"/>
      <c r="H41" s="15"/>
    </row>
    <row r="42" spans="1:9" x14ac:dyDescent="0.2">
      <c r="A42" s="22" t="s">
        <v>45</v>
      </c>
      <c r="B42" s="22" t="s">
        <v>25</v>
      </c>
      <c r="C42" s="22" t="s">
        <v>25</v>
      </c>
      <c r="D42" s="22" t="s">
        <v>25</v>
      </c>
      <c r="E42" s="22" t="s">
        <v>25</v>
      </c>
      <c r="F42" s="22"/>
      <c r="G42" s="22"/>
      <c r="H42" s="22"/>
    </row>
    <row r="43" spans="1:9" x14ac:dyDescent="0.2">
      <c r="A43" s="22" t="s">
        <v>46</v>
      </c>
      <c r="B43" s="22" t="s">
        <v>27</v>
      </c>
      <c r="C43" s="22" t="s">
        <v>27</v>
      </c>
      <c r="D43" s="22" t="s">
        <v>27</v>
      </c>
      <c r="E43" s="22" t="s">
        <v>27</v>
      </c>
      <c r="F43" s="22"/>
      <c r="G43" s="22"/>
      <c r="H43" s="22"/>
    </row>
    <row r="44" spans="1:9" x14ac:dyDescent="0.2">
      <c r="A44" s="22" t="s">
        <v>47</v>
      </c>
      <c r="B44" s="9">
        <v>1360</v>
      </c>
      <c r="C44" s="9">
        <v>13361.62</v>
      </c>
      <c r="D44" s="9">
        <v>25000</v>
      </c>
      <c r="E44" s="9">
        <v>63.22</v>
      </c>
      <c r="F44" s="43">
        <v>11000</v>
      </c>
      <c r="G44" s="9">
        <f>+C44+F44</f>
        <v>24361.620000000003</v>
      </c>
      <c r="H44" s="9">
        <f>+D44-G44</f>
        <v>638.37999999999738</v>
      </c>
    </row>
    <row r="45" spans="1:9" x14ac:dyDescent="0.2">
      <c r="A45" s="22" t="s">
        <v>48</v>
      </c>
      <c r="B45" s="9">
        <v>0</v>
      </c>
      <c r="C45" s="9">
        <v>-168.75</v>
      </c>
      <c r="D45" s="9">
        <v>0</v>
      </c>
      <c r="E45" s="9">
        <v>-100</v>
      </c>
      <c r="F45" s="43"/>
      <c r="G45" s="9">
        <f t="shared" ref="G45" si="11">+C45+F45</f>
        <v>-168.75</v>
      </c>
      <c r="H45" s="9">
        <f t="shared" ref="H45" si="12">+D45-G45</f>
        <v>168.75</v>
      </c>
    </row>
    <row r="46" spans="1:9" x14ac:dyDescent="0.2">
      <c r="A46" s="22" t="s">
        <v>49</v>
      </c>
      <c r="B46" s="22" t="s">
        <v>27</v>
      </c>
      <c r="C46" s="22" t="s">
        <v>27</v>
      </c>
      <c r="D46" s="22" t="s">
        <v>27</v>
      </c>
      <c r="E46" s="22" t="s">
        <v>27</v>
      </c>
      <c r="F46" s="47"/>
      <c r="G46" s="22"/>
      <c r="H46" s="22"/>
    </row>
    <row r="47" spans="1:9" x14ac:dyDescent="0.2">
      <c r="A47" s="22" t="s">
        <v>50</v>
      </c>
      <c r="B47" s="9">
        <v>219.73</v>
      </c>
      <c r="C47" s="9">
        <v>1263.73</v>
      </c>
      <c r="D47" s="9">
        <v>3500</v>
      </c>
      <c r="E47" s="9">
        <v>76.290000000000006</v>
      </c>
      <c r="F47" s="43">
        <f>150*2</f>
        <v>300</v>
      </c>
      <c r="G47" s="9">
        <f>+C47+F47</f>
        <v>1563.73</v>
      </c>
      <c r="H47" s="9">
        <f>+D47-G47</f>
        <v>1936.27</v>
      </c>
      <c r="I47" s="1" t="s">
        <v>87</v>
      </c>
    </row>
    <row r="48" spans="1:9" x14ac:dyDescent="0.2">
      <c r="A48" s="22" t="s">
        <v>51</v>
      </c>
      <c r="B48" s="11">
        <v>1579.73</v>
      </c>
      <c r="C48" s="11">
        <f>SUM(C44:C47)</f>
        <v>14456.6</v>
      </c>
      <c r="D48" s="11">
        <v>28500</v>
      </c>
      <c r="E48" s="11">
        <v>65.41</v>
      </c>
      <c r="F48" s="11">
        <f>SUM(F44:F47)</f>
        <v>11300</v>
      </c>
      <c r="G48" s="11">
        <f t="shared" ref="G48" si="13">+C48+F48</f>
        <v>25756.6</v>
      </c>
      <c r="H48" s="11">
        <f t="shared" ref="H48" si="14">+D48-G48</f>
        <v>2743.4000000000015</v>
      </c>
    </row>
    <row r="49" spans="1:9" x14ac:dyDescent="0.2">
      <c r="A49" s="22"/>
      <c r="B49" s="26"/>
      <c r="C49" s="26"/>
      <c r="D49" s="26"/>
      <c r="E49" s="26"/>
      <c r="F49" s="26"/>
      <c r="G49" s="26"/>
      <c r="H49" s="26"/>
    </row>
    <row r="50" spans="1:9" x14ac:dyDescent="0.2">
      <c r="A50" s="22" t="s">
        <v>89</v>
      </c>
      <c r="B50" s="26"/>
      <c r="C50" s="26"/>
      <c r="D50" s="26"/>
      <c r="E50" s="26"/>
      <c r="F50" s="26"/>
      <c r="G50" s="26"/>
      <c r="H50" s="26"/>
    </row>
    <row r="51" spans="1:9" x14ac:dyDescent="0.2">
      <c r="A51" s="22" t="s">
        <v>90</v>
      </c>
      <c r="B51" s="26"/>
      <c r="C51" s="26"/>
      <c r="D51" s="26"/>
      <c r="E51" s="26"/>
      <c r="F51" s="26"/>
      <c r="G51" s="26"/>
      <c r="H51" s="26"/>
    </row>
    <row r="52" spans="1:9" x14ac:dyDescent="0.2">
      <c r="A52" s="22" t="s">
        <v>91</v>
      </c>
      <c r="B52" s="26"/>
      <c r="C52" s="26">
        <v>66.819999999999993</v>
      </c>
      <c r="D52" s="26"/>
      <c r="E52" s="26"/>
      <c r="F52" s="26">
        <f>33.41*2</f>
        <v>66.819999999999993</v>
      </c>
      <c r="G52" s="9">
        <f t="shared" ref="G52" si="15">+C52+F52</f>
        <v>133.63999999999999</v>
      </c>
      <c r="H52" s="9">
        <f>+D52-G52</f>
        <v>-133.63999999999999</v>
      </c>
    </row>
    <row r="53" spans="1:9" x14ac:dyDescent="0.2">
      <c r="A53" s="24" t="s">
        <v>6</v>
      </c>
      <c r="B53" s="24"/>
      <c r="C53" s="24"/>
      <c r="D53" s="24"/>
      <c r="E53" s="24"/>
      <c r="F53" s="15"/>
      <c r="G53" s="18"/>
      <c r="H53" s="15"/>
    </row>
    <row r="54" spans="1:9" x14ac:dyDescent="0.2">
      <c r="A54" s="22" t="s">
        <v>52</v>
      </c>
      <c r="B54" s="22" t="s">
        <v>25</v>
      </c>
      <c r="C54" s="22" t="s">
        <v>25</v>
      </c>
      <c r="D54" s="22" t="s">
        <v>25</v>
      </c>
      <c r="E54" s="22" t="s">
        <v>25</v>
      </c>
      <c r="F54" s="22"/>
      <c r="G54" s="22"/>
      <c r="H54" s="22"/>
      <c r="I54"/>
    </row>
    <row r="55" spans="1:9" x14ac:dyDescent="0.2">
      <c r="A55" s="22" t="s">
        <v>53</v>
      </c>
      <c r="B55" s="22" t="s">
        <v>27</v>
      </c>
      <c r="C55" s="22" t="s">
        <v>27</v>
      </c>
      <c r="D55" s="22" t="s">
        <v>27</v>
      </c>
      <c r="E55" s="22" t="s">
        <v>27</v>
      </c>
      <c r="F55" s="22"/>
      <c r="G55" s="22"/>
      <c r="H55" s="22"/>
      <c r="I55"/>
    </row>
    <row r="56" spans="1:9" x14ac:dyDescent="0.2">
      <c r="A56" s="22" t="s">
        <v>54</v>
      </c>
      <c r="B56" s="9">
        <v>16416.68</v>
      </c>
      <c r="C56" s="9">
        <v>164166.79999999999</v>
      </c>
      <c r="D56" s="9">
        <v>228000</v>
      </c>
      <c r="E56" s="9">
        <v>56.79</v>
      </c>
      <c r="F56" s="21">
        <f>+(16416.68*2)</f>
        <v>32833.360000000001</v>
      </c>
      <c r="G56" s="9">
        <f t="shared" ref="G56:G58" si="16">+C56+F56</f>
        <v>197000.15999999997</v>
      </c>
      <c r="H56" s="9">
        <f>+D56-G56</f>
        <v>30999.840000000026</v>
      </c>
      <c r="I56" s="1" t="s">
        <v>88</v>
      </c>
    </row>
    <row r="57" spans="1:9" x14ac:dyDescent="0.2">
      <c r="A57" s="22" t="s">
        <v>55</v>
      </c>
      <c r="B57" s="9">
        <v>1249</v>
      </c>
      <c r="C57" s="9">
        <v>12490</v>
      </c>
      <c r="D57" s="9">
        <v>17442</v>
      </c>
      <c r="E57" s="9">
        <v>57.03</v>
      </c>
      <c r="F57" s="21">
        <f>+(1249*2)</f>
        <v>2498</v>
      </c>
      <c r="G57" s="9">
        <f t="shared" si="16"/>
        <v>14988</v>
      </c>
      <c r="H57" s="9">
        <f t="shared" ref="H57:H58" si="17">+D57-G57</f>
        <v>2454</v>
      </c>
      <c r="I57" s="1" t="s">
        <v>88</v>
      </c>
    </row>
    <row r="58" spans="1:9" x14ac:dyDescent="0.2">
      <c r="A58" s="22" t="s">
        <v>56</v>
      </c>
      <c r="B58" s="9">
        <v>-90.28</v>
      </c>
      <c r="C58" s="9">
        <v>8929.33</v>
      </c>
      <c r="D58" s="9">
        <v>16500</v>
      </c>
      <c r="E58" s="9">
        <v>67.42</v>
      </c>
      <c r="F58" s="21">
        <f>888.45*2</f>
        <v>1776.9</v>
      </c>
      <c r="G58" s="9">
        <f t="shared" si="16"/>
        <v>10706.23</v>
      </c>
      <c r="H58" s="9">
        <f t="shared" si="17"/>
        <v>5793.77</v>
      </c>
      <c r="I58" s="1" t="s">
        <v>88</v>
      </c>
    </row>
    <row r="59" spans="1:9" x14ac:dyDescent="0.2">
      <c r="A59" s="22" t="s">
        <v>57</v>
      </c>
      <c r="B59" s="11">
        <v>17575.400000000001</v>
      </c>
      <c r="C59" s="11">
        <f>SUM(C56:C58)</f>
        <v>185586.12999999998</v>
      </c>
      <c r="D59" s="11">
        <v>261942</v>
      </c>
      <c r="E59" s="11">
        <v>57.48</v>
      </c>
      <c r="F59" s="11">
        <f>SUM(F56:F58)</f>
        <v>37108.26</v>
      </c>
      <c r="G59" s="11">
        <f>SUM(G56:G58)</f>
        <v>222694.38999999998</v>
      </c>
      <c r="H59" s="11">
        <f>+D59-G59</f>
        <v>39247.610000000015</v>
      </c>
    </row>
    <row r="60" spans="1:9" x14ac:dyDescent="0.2">
      <c r="A60" s="24" t="s">
        <v>6</v>
      </c>
      <c r="B60" s="24"/>
      <c r="C60" s="24"/>
      <c r="D60" s="24"/>
      <c r="E60" s="24"/>
      <c r="F60" s="15"/>
      <c r="H60" s="15"/>
    </row>
    <row r="61" spans="1:9" x14ac:dyDescent="0.2">
      <c r="A61" s="22" t="s">
        <v>58</v>
      </c>
      <c r="B61" s="22" t="s">
        <v>25</v>
      </c>
      <c r="C61" s="22" t="s">
        <v>25</v>
      </c>
      <c r="D61" s="22" t="s">
        <v>25</v>
      </c>
      <c r="E61" s="22" t="s">
        <v>25</v>
      </c>
      <c r="F61" s="22"/>
      <c r="G61" s="22"/>
      <c r="H61" s="22"/>
    </row>
    <row r="62" spans="1:9" x14ac:dyDescent="0.2">
      <c r="A62" s="22" t="s">
        <v>59</v>
      </c>
      <c r="B62" s="22" t="s">
        <v>27</v>
      </c>
      <c r="C62" s="22" t="s">
        <v>27</v>
      </c>
      <c r="D62" s="22" t="s">
        <v>27</v>
      </c>
      <c r="E62" s="22" t="s">
        <v>27</v>
      </c>
      <c r="F62" s="22"/>
      <c r="G62" s="22"/>
      <c r="H62" s="22"/>
    </row>
    <row r="63" spans="1:9" x14ac:dyDescent="0.2">
      <c r="A63" s="22" t="s">
        <v>60</v>
      </c>
      <c r="B63" s="9">
        <v>0</v>
      </c>
      <c r="C63" s="9">
        <v>6500</v>
      </c>
      <c r="D63" s="9">
        <v>10175</v>
      </c>
      <c r="E63" s="9">
        <v>100</v>
      </c>
      <c r="F63" s="9"/>
      <c r="G63" s="9">
        <f t="shared" ref="G63:G65" si="18">+C63+F63</f>
        <v>6500</v>
      </c>
      <c r="H63" s="9">
        <f t="shared" ref="H63:H65" si="19">+D63-G63</f>
        <v>3675</v>
      </c>
    </row>
    <row r="64" spans="1:9" x14ac:dyDescent="0.2">
      <c r="A64" s="22" t="s">
        <v>61</v>
      </c>
      <c r="B64" s="9">
        <v>0</v>
      </c>
      <c r="C64" s="9">
        <v>5500</v>
      </c>
      <c r="D64" s="9">
        <v>6000</v>
      </c>
      <c r="E64" s="9">
        <v>66.66</v>
      </c>
      <c r="F64" s="21">
        <f>500*3</f>
        <v>1500</v>
      </c>
      <c r="G64" s="9">
        <f t="shared" si="18"/>
        <v>7000</v>
      </c>
      <c r="H64" s="9">
        <f t="shared" si="19"/>
        <v>-1000</v>
      </c>
      <c r="I64" s="1" t="s">
        <v>128</v>
      </c>
    </row>
    <row r="65" spans="1:9" x14ac:dyDescent="0.2">
      <c r="A65" s="22" t="s">
        <v>62</v>
      </c>
      <c r="B65" s="9">
        <v>1800</v>
      </c>
      <c r="C65" s="9">
        <v>18000</v>
      </c>
      <c r="D65" s="9">
        <v>21600</v>
      </c>
      <c r="E65" s="9">
        <v>50</v>
      </c>
      <c r="F65" s="21">
        <f>1800*2+500</f>
        <v>4100</v>
      </c>
      <c r="G65" s="9">
        <f t="shared" si="18"/>
        <v>22100</v>
      </c>
      <c r="H65" s="9">
        <f t="shared" si="19"/>
        <v>-500</v>
      </c>
      <c r="I65" s="1" t="s">
        <v>88</v>
      </c>
    </row>
    <row r="66" spans="1:9" x14ac:dyDescent="0.2">
      <c r="A66" s="22" t="s">
        <v>63</v>
      </c>
      <c r="B66" s="11">
        <v>1800</v>
      </c>
      <c r="C66" s="11">
        <f>SUM(C63:C65)</f>
        <v>30000</v>
      </c>
      <c r="D66" s="11">
        <v>37775</v>
      </c>
      <c r="E66" s="11">
        <v>66.11</v>
      </c>
      <c r="F66" s="11">
        <f>SUM(F63:F65)</f>
        <v>5600</v>
      </c>
      <c r="G66" s="11">
        <f t="shared" ref="G66" si="20">+C66+F66</f>
        <v>35600</v>
      </c>
      <c r="H66" s="11">
        <f t="shared" ref="H66" si="21">+D66-G66</f>
        <v>2175</v>
      </c>
    </row>
    <row r="67" spans="1:9" x14ac:dyDescent="0.2">
      <c r="A67" s="22" t="s">
        <v>64</v>
      </c>
      <c r="B67" s="10">
        <v>23858.15</v>
      </c>
      <c r="C67" s="10">
        <f>+C66+C59+C48+C40+C52</f>
        <v>250238.19999999998</v>
      </c>
      <c r="D67" s="10">
        <v>350823</v>
      </c>
      <c r="E67" s="10">
        <v>57.75</v>
      </c>
      <c r="F67" s="10">
        <f>+F66+F59+F48+F40+F52</f>
        <v>56714.080000000002</v>
      </c>
      <c r="G67" s="10">
        <f t="shared" ref="G67:H67" si="22">+G66+G59+G48+G40+G52</f>
        <v>306952.28000000003</v>
      </c>
      <c r="H67" s="10">
        <f t="shared" si="22"/>
        <v>43870.720000000016</v>
      </c>
    </row>
    <row r="68" spans="1:9" x14ac:dyDescent="0.2">
      <c r="A68" s="24" t="s">
        <v>6</v>
      </c>
      <c r="B68" s="24"/>
      <c r="C68" s="24"/>
      <c r="D68" s="24"/>
      <c r="E68" s="24"/>
      <c r="F68" s="15"/>
      <c r="G68" s="18"/>
      <c r="H68" s="15"/>
    </row>
    <row r="69" spans="1:9" x14ac:dyDescent="0.2">
      <c r="A69" s="8" t="s">
        <v>65</v>
      </c>
      <c r="B69" s="8" t="s">
        <v>16</v>
      </c>
      <c r="C69" s="8" t="s">
        <v>16</v>
      </c>
      <c r="D69" s="8" t="s">
        <v>16</v>
      </c>
      <c r="E69" s="8" t="s">
        <v>16</v>
      </c>
      <c r="F69" s="8"/>
      <c r="G69" s="8"/>
      <c r="H69" s="8"/>
    </row>
    <row r="70" spans="1:9" x14ac:dyDescent="0.2">
      <c r="A70" s="22" t="s">
        <v>66</v>
      </c>
      <c r="B70" s="22" t="s">
        <v>25</v>
      </c>
      <c r="C70" s="22" t="s">
        <v>25</v>
      </c>
      <c r="D70" s="22" t="s">
        <v>25</v>
      </c>
      <c r="E70" s="22" t="s">
        <v>25</v>
      </c>
      <c r="F70" s="22"/>
      <c r="G70" s="22"/>
      <c r="H70" s="22"/>
    </row>
    <row r="71" spans="1:9" x14ac:dyDescent="0.2">
      <c r="A71" s="22" t="s">
        <v>67</v>
      </c>
      <c r="B71" s="12">
        <v>-45446.5</v>
      </c>
      <c r="C71" s="12">
        <v>-134926.62</v>
      </c>
      <c r="D71" s="12">
        <v>0</v>
      </c>
      <c r="E71" s="9">
        <v>-100</v>
      </c>
      <c r="F71" s="12"/>
      <c r="G71" s="12">
        <v>0</v>
      </c>
      <c r="H71" s="12">
        <v>0</v>
      </c>
    </row>
    <row r="72" spans="1:9" x14ac:dyDescent="0.2">
      <c r="A72" s="22" t="s">
        <v>68</v>
      </c>
      <c r="B72" s="10">
        <v>-45446.5</v>
      </c>
      <c r="C72" s="10">
        <v>-134926.62</v>
      </c>
      <c r="D72" s="10">
        <v>0</v>
      </c>
      <c r="E72" s="10">
        <v>-100</v>
      </c>
      <c r="F72" s="10"/>
      <c r="G72" s="10"/>
      <c r="H72" s="10"/>
    </row>
    <row r="73" spans="1:9" x14ac:dyDescent="0.2">
      <c r="A73" s="24" t="s">
        <v>6</v>
      </c>
      <c r="B73" s="24"/>
      <c r="C73" s="24"/>
      <c r="D73" s="24"/>
      <c r="E73" s="24"/>
      <c r="F73" s="15"/>
      <c r="H73" s="15"/>
    </row>
    <row r="74" spans="1:9" ht="13.5" thickBot="1" x14ac:dyDescent="0.25">
      <c r="A74" s="8" t="s">
        <v>69</v>
      </c>
      <c r="B74" s="13">
        <v>11058.51</v>
      </c>
      <c r="C74" s="13">
        <f>+C16-C67+C71</f>
        <v>61372.680000000022</v>
      </c>
      <c r="D74" s="13">
        <v>-12823</v>
      </c>
      <c r="E74" s="14">
        <v>524.26</v>
      </c>
      <c r="F74" s="13">
        <f>+F16-F67+F71</f>
        <v>38519.240000000005</v>
      </c>
      <c r="G74" s="13">
        <f>+G16-G67-G71</f>
        <v>99891.919999999984</v>
      </c>
      <c r="H74" s="13">
        <f>+H16-H67-H71</f>
        <v>24973.479999999981</v>
      </c>
    </row>
    <row r="75" spans="1:9" ht="13.5" thickTop="1" x14ac:dyDescent="0.2">
      <c r="A75" s="2" t="s">
        <v>6</v>
      </c>
    </row>
    <row r="76" spans="1:9" x14ac:dyDescent="0.2">
      <c r="A76" s="2" t="s">
        <v>6</v>
      </c>
    </row>
    <row r="77" spans="1:9" x14ac:dyDescent="0.2">
      <c r="A77" s="22" t="s">
        <v>70</v>
      </c>
    </row>
    <row r="78" spans="1:9" x14ac:dyDescent="0.2">
      <c r="A78" s="22" t="s">
        <v>71</v>
      </c>
    </row>
  </sheetData>
  <pageMargins left="0.75" right="0.75" top="1" bottom="1" header="0.5" footer="0.5"/>
  <pageSetup orientation="portrait" horizontalDpi="300" verticalDpi="300" r:id="rId1"/>
  <ignoredErrors>
    <ignoredError sqref="A29:E30 A1:E6 B28 A68:E73 A8:E10 A7:B7 D7:E7 A13:E15 A11:B12 D11:E12 A17:E20 A16:B16 D16:E16 A21:B22 D21:E22 J1:IV22 B25:E25 J25:IV25 D28:E28 A35:E35 A31:B34 D31:E34 A38:E38 A36:B37 D36:E37 A41:E43 J53:IV65543 A39:B40 D39:E40 A45:E46 A44:B44 D44:E44 A53:E55 A47:B48 D47:E48 A60:E62 A56:B59 D56:E59 A63:B67 D63:E67 J28:IV48 A75:E65543 A74:B74 D74:E7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Statement of Activities - Actua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Allen</dc:creator>
  <cp:keywords/>
  <dc:description/>
  <cp:lastModifiedBy>Beth Allen</cp:lastModifiedBy>
  <dcterms:created xsi:type="dcterms:W3CDTF">2020-01-14T01:00:45Z</dcterms:created>
  <dcterms:modified xsi:type="dcterms:W3CDTF">2020-06-05T13:44:28Z</dcterms:modified>
  <cp:category/>
  <cp:contentStatus/>
</cp:coreProperties>
</file>